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70" yWindow="600" windowWidth="19440" windowHeight="900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63" i="1" l="1"/>
  <c r="E60" i="1"/>
  <c r="E69" i="1" l="1"/>
  <c r="E73" i="1" s="1"/>
  <c r="E56" i="1"/>
  <c r="I47" i="1"/>
  <c r="H47" i="1"/>
  <c r="G47" i="1"/>
  <c r="F47" i="1"/>
  <c r="E32" i="1"/>
  <c r="I32" i="1" s="1"/>
  <c r="D32" i="1"/>
  <c r="B43" i="1"/>
  <c r="B44" i="1" s="1"/>
  <c r="E11" i="1"/>
  <c r="D11" i="1"/>
  <c r="D9" i="1"/>
  <c r="B49" i="1"/>
  <c r="F32" i="1" l="1"/>
  <c r="G32" i="1"/>
  <c r="H32" i="1"/>
  <c r="B47" i="1"/>
  <c r="B34" i="1"/>
  <c r="B37" i="1" s="1"/>
  <c r="B13" i="1"/>
  <c r="B14" i="1" s="1"/>
  <c r="B25" i="1" s="1"/>
  <c r="I4" i="1"/>
  <c r="I11" i="1" s="1"/>
  <c r="H4" i="1"/>
  <c r="H11" i="1" s="1"/>
  <c r="C49" i="1"/>
  <c r="E49" i="1" s="1"/>
  <c r="E9" i="1"/>
  <c r="G4" i="1"/>
  <c r="G11" i="1" s="1"/>
  <c r="F4" i="1"/>
  <c r="F11" i="1" s="1"/>
  <c r="G9" i="1" l="1"/>
  <c r="F9" i="1"/>
  <c r="H9" i="1"/>
  <c r="I9" i="1"/>
  <c r="D33" i="1"/>
  <c r="E33" i="1"/>
  <c r="G49" i="1"/>
  <c r="I49" i="1"/>
  <c r="H49" i="1"/>
  <c r="F49" i="1"/>
  <c r="I33" i="1" l="1"/>
  <c r="H33" i="1"/>
  <c r="G33" i="1"/>
  <c r="F33" i="1"/>
  <c r="E23" i="1"/>
  <c r="D23" i="1"/>
  <c r="E62" i="1" l="1"/>
  <c r="G23" i="1"/>
  <c r="I23" i="1"/>
  <c r="F23" i="1"/>
  <c r="H23" i="1"/>
  <c r="E75" i="1"/>
  <c r="E76" i="1" s="1"/>
  <c r="G27" i="1" l="1"/>
  <c r="G51" i="1" s="1"/>
  <c r="G52" i="1" s="1"/>
  <c r="H27" i="1"/>
  <c r="H51" i="1" s="1"/>
  <c r="H52" i="1" s="1"/>
  <c r="F27" i="1"/>
  <c r="F51" i="1" s="1"/>
  <c r="F52" i="1" s="1"/>
  <c r="I27" i="1"/>
  <c r="I51" i="1" s="1"/>
  <c r="I52" i="1" s="1"/>
  <c r="E78" i="1"/>
  <c r="E79" i="1" s="1"/>
  <c r="E65" i="1"/>
  <c r="E66" i="1" s="1"/>
</calcChain>
</file>

<file path=xl/sharedStrings.xml><?xml version="1.0" encoding="utf-8"?>
<sst xmlns="http://schemas.openxmlformats.org/spreadsheetml/2006/main" count="72" uniqueCount="64">
  <si>
    <t>Баланс, x 1 000 RUB</t>
  </si>
  <si>
    <t>Наименование</t>
  </si>
  <si>
    <t>Актив</t>
  </si>
  <si>
    <t>Внеоборотные активы</t>
  </si>
  <si>
    <t>Запасы</t>
  </si>
  <si>
    <t>НДС по приобретенным ценностям</t>
  </si>
  <si>
    <t>Дебиторская задолженность</t>
  </si>
  <si>
    <t>Краткосрочные финансовые вложения</t>
  </si>
  <si>
    <t>Денежные средства</t>
  </si>
  <si>
    <t>Прочие оборотные активы</t>
  </si>
  <si>
    <t>Оборотные активы</t>
  </si>
  <si>
    <t>Активы всего</t>
  </si>
  <si>
    <t>Пассив</t>
  </si>
  <si>
    <t>Уставный капитал</t>
  </si>
  <si>
    <t>Добавочный капитал</t>
  </si>
  <si>
    <t>Резервный капитал</t>
  </si>
  <si>
    <t>Капитал и резервы</t>
  </si>
  <si>
    <t>Долгосрочные обязательства</t>
  </si>
  <si>
    <t>Кредиторская задолженность</t>
  </si>
  <si>
    <t>Краткосрочные обязательства</t>
  </si>
  <si>
    <t>Пассивы всего</t>
  </si>
  <si>
    <t>Отчет о финансовых результатах, x 1 000 RUB</t>
  </si>
  <si>
    <t>Выручка от продажи (за минусом НДС, акцизов ...)</t>
  </si>
  <si>
    <t>Себестоимость проданных товаров, продукции, работ, услуг</t>
  </si>
  <si>
    <t>Валовая прибыль</t>
  </si>
  <si>
    <t>Коммерческие расходы</t>
  </si>
  <si>
    <t>Управленческие расходы</t>
  </si>
  <si>
    <t>Прибыль (убыток) от продажи</t>
  </si>
  <si>
    <t>Проценты к получению</t>
  </si>
  <si>
    <t>Проценты к уплате</t>
  </si>
  <si>
    <t>Доходы от участия в других организациях</t>
  </si>
  <si>
    <t>Прочие доходы</t>
  </si>
  <si>
    <t>Прочие расходы</t>
  </si>
  <si>
    <t>Прибыль (убыток) до налогообложения</t>
  </si>
  <si>
    <t>Текущий налог на прибыль</t>
  </si>
  <si>
    <t>Чрезвычайные доходы и расходы</t>
  </si>
  <si>
    <t>Отложенные налоговые обязательства</t>
  </si>
  <si>
    <t>Чистая прибыль (убыток)</t>
  </si>
  <si>
    <t>в %% от Чистой прибыли</t>
  </si>
  <si>
    <t>Стратегия хеджирования</t>
  </si>
  <si>
    <t>Нераспределенная прибыль</t>
  </si>
  <si>
    <t>Доля от общего размера показателя</t>
  </si>
  <si>
    <t>Итого курсовая разница</t>
  </si>
  <si>
    <t>Размер валютной составляю-щей (экв. в тыс. руб.)</t>
  </si>
  <si>
    <t>Размер валютной составляю-щей (экв. в евро)</t>
  </si>
  <si>
    <t>Средний курс покупки, руб. за 1 евро</t>
  </si>
  <si>
    <t>ИТОГО расходы по хеджированию, тыс. руб.</t>
  </si>
  <si>
    <t>Наименование показателя</t>
  </si>
  <si>
    <r>
      <t xml:space="preserve">Изменение рублевой стоимости валютных показателей при изменении курса </t>
    </r>
    <r>
      <rPr>
        <b/>
        <u/>
        <sz val="11"/>
        <color theme="1"/>
        <rFont val="Calibri"/>
        <family val="2"/>
        <charset val="204"/>
        <scheme val="minor"/>
      </rPr>
      <t>на 10%</t>
    </r>
  </si>
  <si>
    <r>
      <t xml:space="preserve">Изменение рублевой стоимости валютных показателей при изменении курса </t>
    </r>
    <r>
      <rPr>
        <b/>
        <u/>
        <sz val="11"/>
        <color theme="1"/>
        <rFont val="Calibri"/>
        <family val="2"/>
        <charset val="204"/>
        <scheme val="minor"/>
      </rPr>
      <t>на 6%</t>
    </r>
  </si>
  <si>
    <t>Средний курс евро за период</t>
  </si>
  <si>
    <t>Сумма инвестиций (с НДС)</t>
  </si>
  <si>
    <t xml:space="preserve">ИТОГО влияние изменения курсов валют </t>
  </si>
  <si>
    <t>Сценарий 1 (ожидаемое колебание курса валюты в пределах 10% от средегодового предшествующего периода)</t>
  </si>
  <si>
    <t>Сценарий 2 (ожидаемое колебание курса валюты в пределах 6% от средегодового предшествующего периода)</t>
  </si>
  <si>
    <t>Стоимость поддержания резерва на биржевом счете (по ставке 11,25% годовых***), тыс руб.</t>
  </si>
  <si>
    <t>Стоимость хеджирования через биржевые операции SWAP (продажа - покупка евро за рубли) за 12 месяцев по ставке 9,75% годовых*, тыс. руб.</t>
  </si>
  <si>
    <t>(*) = Ключевая ставка ЦБ РФ +0.5% годовых*****</t>
  </si>
  <si>
    <t>(****) - резерв может держаться в любой валюте в объеме эквивалента 10% от рублевой задолженности по SWAP на конец рабочего дня</t>
  </si>
  <si>
    <t>(***) - альтернативная стоимость банковского финансирования для формирования резерва**** на брокерском счете (ориентир: по Ключевой ставке ЦБ РФ + 2%)</t>
  </si>
  <si>
    <t>Сумма резерва на биржевом счете под  операции SWAP**, экв. тыс. руб.</t>
  </si>
  <si>
    <t>(**) = 10% от суммы от рублевой задолженности по SWAP на конец рабочего дня</t>
  </si>
  <si>
    <t>(*****) - суммарный средний размер комиссии биржи и брокера</t>
  </si>
  <si>
    <t>Покупка на бирже (с расчетами TOM) валютного резерва: затраты на СиМ в валюте (с НДС) на период 6 мес - экспортная выручка в валюте (без НДС) за период 6 мес + Инвестиции в валюте (с НДС)
 (экв. в евро)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</si>
</sst>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i/>
      <u/>
      <sz val="14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2">
    <border>
      <left/>
      <right/>
      <top/>
      <bottom/>
      <diagonal/>
    </border>
    <border>
      <left/>
      <right/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0">
    <xf numFmtId="0" fontId="0" fillId="0" borderId="0" xfId="0"/>
    <xf numFmtId="164" fontId="0" fillId="0" borderId="1" xfId="1" applyNumberFormat="1" applyFont="1" applyBorder="1"/>
    <xf numFmtId="0" fontId="4" fillId="0" borderId="1" xfId="0" applyFont="1" applyBorder="1"/>
    <xf numFmtId="0" fontId="5" fillId="0" borderId="1" xfId="0" applyFont="1" applyBorder="1"/>
    <xf numFmtId="0" fontId="0" fillId="0" borderId="0" xfId="0" applyFont="1"/>
    <xf numFmtId="0" fontId="0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/>
    <xf numFmtId="2" fontId="0" fillId="0" borderId="1" xfId="0" applyNumberFormat="1" applyFont="1" applyBorder="1"/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left" indent="1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3" fontId="2" fillId="0" borderId="1" xfId="0" applyNumberFormat="1" applyFont="1" applyBorder="1" applyAlignment="1">
      <alignment vertical="center" wrapText="1"/>
    </xf>
    <xf numFmtId="3" fontId="0" fillId="0" borderId="1" xfId="0" applyNumberFormat="1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9" fontId="0" fillId="0" borderId="1" xfId="1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3" fontId="7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0" fillId="0" borderId="1" xfId="0" applyFont="1" applyBorder="1" applyAlignment="1">
      <alignment horizontal="left" vertical="center" wrapText="1" indent="2"/>
    </xf>
    <xf numFmtId="0" fontId="3" fillId="0" borderId="1" xfId="0" applyFont="1" applyBorder="1" applyAlignment="1">
      <alignment horizontal="left" vertical="center" wrapText="1"/>
    </xf>
    <xf numFmtId="0" fontId="8" fillId="0" borderId="0" xfId="0" applyFont="1"/>
    <xf numFmtId="3" fontId="7" fillId="3" borderId="1" xfId="0" applyNumberFormat="1" applyFont="1" applyFill="1" applyBorder="1" applyAlignment="1">
      <alignment vertical="center" wrapText="1"/>
    </xf>
    <xf numFmtId="0" fontId="2" fillId="3" borderId="1" xfId="0" applyFont="1" applyFill="1" applyBorder="1"/>
    <xf numFmtId="0" fontId="0" fillId="3" borderId="1" xfId="0" applyFont="1" applyFill="1" applyBorder="1"/>
    <xf numFmtId="0" fontId="2" fillId="2" borderId="1" xfId="0" applyFont="1" applyFill="1" applyBorder="1"/>
    <xf numFmtId="0" fontId="0" fillId="2" borderId="1" xfId="0" applyFont="1" applyFill="1" applyBorder="1"/>
    <xf numFmtId="3" fontId="7" fillId="2" borderId="1" xfId="0" applyNumberFormat="1" applyFont="1" applyFill="1" applyBorder="1" applyAlignment="1">
      <alignment vertical="center" wrapText="1"/>
    </xf>
    <xf numFmtId="0" fontId="0" fillId="0" borderId="0" xfId="0" applyFont="1" applyBorder="1" applyAlignment="1">
      <alignment horizontal="left" indent="1"/>
    </xf>
    <xf numFmtId="0" fontId="0" fillId="0" borderId="0" xfId="0" applyFont="1" applyBorder="1"/>
    <xf numFmtId="164" fontId="0" fillId="0" borderId="0" xfId="1" applyNumberFormat="1" applyFont="1" applyBorder="1"/>
    <xf numFmtId="9" fontId="7" fillId="0" borderId="0" xfId="1" applyFont="1" applyFill="1" applyBorder="1" applyAlignment="1">
      <alignment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5"/>
  <sheetViews>
    <sheetView tabSelected="1" topLeftCell="A19" zoomScaleNormal="100" workbookViewId="0">
      <selection activeCell="E69" sqref="E69"/>
    </sheetView>
  </sheetViews>
  <sheetFormatPr defaultColWidth="8.85546875" defaultRowHeight="15" x14ac:dyDescent="0.25"/>
  <cols>
    <col min="1" max="1" width="53.85546875" style="4" customWidth="1"/>
    <col min="2" max="2" width="12.85546875" style="4" customWidth="1"/>
    <col min="3" max="3" width="11.42578125" style="4" customWidth="1"/>
    <col min="4" max="4" width="10.7109375" style="4" customWidth="1"/>
    <col min="5" max="5" width="10.85546875" style="4" customWidth="1"/>
    <col min="6" max="6" width="11.140625" style="4" customWidth="1"/>
    <col min="7" max="7" width="12.42578125" style="4" customWidth="1"/>
    <col min="8" max="9" width="12.28515625" style="4" customWidth="1"/>
    <col min="10" max="16384" width="8.85546875" style="4"/>
  </cols>
  <sheetData>
    <row r="1" spans="1:9" ht="18.75" x14ac:dyDescent="0.25">
      <c r="A1" s="11" t="s">
        <v>0</v>
      </c>
    </row>
    <row r="2" spans="1:9" ht="14.45" x14ac:dyDescent="0.3">
      <c r="A2" s="12"/>
    </row>
    <row r="3" spans="1:9" ht="76.150000000000006" customHeight="1" x14ac:dyDescent="0.25">
      <c r="A3" s="13" t="s">
        <v>1</v>
      </c>
      <c r="B3" s="14">
        <v>2016</v>
      </c>
      <c r="C3" s="5" t="s">
        <v>43</v>
      </c>
      <c r="D3" s="6" t="s">
        <v>41</v>
      </c>
      <c r="E3" s="5" t="s">
        <v>44</v>
      </c>
      <c r="F3" s="38" t="s">
        <v>48</v>
      </c>
      <c r="G3" s="38"/>
      <c r="H3" s="39" t="s">
        <v>49</v>
      </c>
      <c r="I3" s="39"/>
    </row>
    <row r="4" spans="1:9" x14ac:dyDescent="0.25">
      <c r="A4" s="19" t="s">
        <v>50</v>
      </c>
      <c r="B4" s="8">
        <v>74</v>
      </c>
      <c r="C4" s="7"/>
      <c r="D4" s="7"/>
      <c r="E4" s="8">
        <v>74</v>
      </c>
      <c r="F4" s="8">
        <f>E4/1.1</f>
        <v>67.272727272727266</v>
      </c>
      <c r="G4" s="8">
        <f>E4*1.1</f>
        <v>81.400000000000006</v>
      </c>
      <c r="H4" s="8">
        <f>E4/1.06</f>
        <v>69.811320754716974</v>
      </c>
      <c r="I4" s="7">
        <f>E4*1.06</f>
        <v>78.44</v>
      </c>
    </row>
    <row r="5" spans="1:9" ht="18.75" x14ac:dyDescent="0.25">
      <c r="A5" s="26" t="s">
        <v>2</v>
      </c>
      <c r="B5" s="13"/>
      <c r="C5" s="7"/>
      <c r="D5" s="7"/>
    </row>
    <row r="6" spans="1:9" x14ac:dyDescent="0.25">
      <c r="A6" s="16" t="s">
        <v>3</v>
      </c>
      <c r="B6" s="17">
        <v>2300000</v>
      </c>
      <c r="C6" s="7"/>
      <c r="D6" s="7"/>
      <c r="E6" s="7"/>
      <c r="F6" s="7"/>
      <c r="G6" s="7"/>
      <c r="H6" s="7"/>
      <c r="I6" s="7"/>
    </row>
    <row r="7" spans="1:9" x14ac:dyDescent="0.25">
      <c r="A7" s="19" t="s">
        <v>4</v>
      </c>
      <c r="B7" s="18">
        <v>1800000</v>
      </c>
      <c r="C7" s="7"/>
      <c r="D7" s="7"/>
      <c r="E7" s="7"/>
      <c r="F7" s="7"/>
      <c r="G7" s="7"/>
      <c r="H7" s="7"/>
      <c r="I7" s="7"/>
    </row>
    <row r="8" spans="1:9" x14ac:dyDescent="0.25">
      <c r="A8" s="19" t="s">
        <v>5</v>
      </c>
      <c r="B8" s="18">
        <v>40000</v>
      </c>
      <c r="C8" s="7"/>
      <c r="D8" s="7"/>
      <c r="E8" s="7"/>
      <c r="F8" s="7"/>
      <c r="G8" s="7"/>
      <c r="H8" s="7"/>
      <c r="I8" s="7"/>
    </row>
    <row r="9" spans="1:9" x14ac:dyDescent="0.25">
      <c r="A9" s="19" t="s">
        <v>6</v>
      </c>
      <c r="B9" s="18">
        <v>2100000</v>
      </c>
      <c r="C9" s="18">
        <v>105000</v>
      </c>
      <c r="D9" s="20">
        <f>C9/B9</f>
        <v>0.05</v>
      </c>
      <c r="E9" s="18">
        <f>C9/74*1000</f>
        <v>1418918.9189189191</v>
      </c>
      <c r="F9" s="18">
        <f>$E9*F$4/1000-$C9</f>
        <v>-9545.4545454545441</v>
      </c>
      <c r="G9" s="18">
        <f>$E9*G$4/1000-$C9</f>
        <v>10500.000000000015</v>
      </c>
      <c r="H9" s="18">
        <f>$E9*H$4/1000-$C9</f>
        <v>-5943.3962264150905</v>
      </c>
      <c r="I9" s="18">
        <f>$E9*I$4/1000-$C9</f>
        <v>6300</v>
      </c>
    </row>
    <row r="10" spans="1:9" x14ac:dyDescent="0.25">
      <c r="A10" s="19" t="s">
        <v>7</v>
      </c>
      <c r="B10" s="18">
        <v>700000</v>
      </c>
      <c r="C10" s="7"/>
      <c r="D10" s="7"/>
      <c r="E10" s="7"/>
      <c r="F10" s="7"/>
      <c r="G10" s="7"/>
      <c r="H10" s="7"/>
      <c r="I10" s="7"/>
    </row>
    <row r="11" spans="1:9" x14ac:dyDescent="0.25">
      <c r="A11" s="19" t="s">
        <v>8</v>
      </c>
      <c r="B11" s="18">
        <v>80000</v>
      </c>
      <c r="C11" s="18">
        <v>4000</v>
      </c>
      <c r="D11" s="20">
        <f>C11/B11</f>
        <v>0.05</v>
      </c>
      <c r="E11" s="18">
        <f>C11/74*1000</f>
        <v>54054.054054054053</v>
      </c>
      <c r="F11" s="18">
        <f>$E11*F$4/1000-$C11</f>
        <v>-363.63636363636442</v>
      </c>
      <c r="G11" s="18">
        <f>$E11*G$4/1000-$C11</f>
        <v>400</v>
      </c>
      <c r="H11" s="18">
        <f>$E11*H$4/1000-$C11</f>
        <v>-226.41509433962301</v>
      </c>
      <c r="I11" s="18">
        <f>$E11*I$4/1000-$C11</f>
        <v>240</v>
      </c>
    </row>
    <row r="12" spans="1:9" x14ac:dyDescent="0.25">
      <c r="A12" s="19" t="s">
        <v>9</v>
      </c>
      <c r="B12" s="18">
        <v>20000</v>
      </c>
      <c r="C12" s="7"/>
      <c r="D12" s="7"/>
      <c r="E12" s="7"/>
      <c r="F12" s="7"/>
      <c r="G12" s="7"/>
      <c r="H12" s="7"/>
      <c r="I12" s="7"/>
    </row>
    <row r="13" spans="1:9" x14ac:dyDescent="0.25">
      <c r="A13" s="16" t="s">
        <v>10</v>
      </c>
      <c r="B13" s="17">
        <f>SUM(B7:B12)</f>
        <v>4740000</v>
      </c>
      <c r="C13" s="7"/>
      <c r="D13" s="7"/>
      <c r="E13" s="7"/>
      <c r="F13" s="7"/>
      <c r="G13" s="7"/>
      <c r="H13" s="7"/>
      <c r="I13" s="7"/>
    </row>
    <row r="14" spans="1:9" ht="15.75" x14ac:dyDescent="0.25">
      <c r="A14" s="21" t="s">
        <v>11</v>
      </c>
      <c r="B14" s="22">
        <f>B6+B13</f>
        <v>7040000</v>
      </c>
      <c r="C14" s="7"/>
      <c r="D14" s="7"/>
      <c r="E14" s="7"/>
      <c r="F14" s="7"/>
      <c r="G14" s="7"/>
      <c r="H14" s="7"/>
      <c r="I14" s="7"/>
    </row>
    <row r="15" spans="1:9" ht="14.45" x14ac:dyDescent="0.3">
      <c r="A15" s="19"/>
      <c r="B15" s="18"/>
      <c r="C15" s="7"/>
      <c r="D15" s="7"/>
      <c r="E15" s="7"/>
      <c r="F15" s="7"/>
      <c r="G15" s="7"/>
      <c r="H15" s="7"/>
      <c r="I15" s="7"/>
    </row>
    <row r="16" spans="1:9" ht="18.75" x14ac:dyDescent="0.25">
      <c r="A16" s="26" t="s">
        <v>12</v>
      </c>
      <c r="B16" s="13"/>
      <c r="C16" s="7"/>
      <c r="D16" s="7"/>
      <c r="E16" s="7"/>
      <c r="F16" s="7"/>
      <c r="G16" s="7"/>
      <c r="H16" s="7"/>
      <c r="I16" s="7"/>
    </row>
    <row r="17" spans="1:9" x14ac:dyDescent="0.25">
      <c r="A17" s="19" t="s">
        <v>13</v>
      </c>
      <c r="B17" s="18">
        <v>3000</v>
      </c>
      <c r="C17" s="7"/>
      <c r="D17" s="7"/>
      <c r="E17" s="7"/>
      <c r="F17" s="7"/>
      <c r="G17" s="7"/>
      <c r="H17" s="7"/>
      <c r="I17" s="7"/>
    </row>
    <row r="18" spans="1:9" x14ac:dyDescent="0.25">
      <c r="A18" s="19" t="s">
        <v>14</v>
      </c>
      <c r="B18" s="18"/>
      <c r="C18" s="7"/>
      <c r="D18" s="7"/>
      <c r="E18" s="7"/>
      <c r="F18" s="7"/>
      <c r="G18" s="7"/>
      <c r="H18" s="7"/>
      <c r="I18" s="7"/>
    </row>
    <row r="19" spans="1:9" x14ac:dyDescent="0.25">
      <c r="A19" s="19" t="s">
        <v>15</v>
      </c>
      <c r="B19" s="19"/>
      <c r="C19" s="7"/>
      <c r="D19" s="7"/>
      <c r="E19" s="7"/>
      <c r="F19" s="7"/>
      <c r="G19" s="7"/>
      <c r="H19" s="7"/>
      <c r="I19" s="7"/>
    </row>
    <row r="20" spans="1:9" x14ac:dyDescent="0.25">
      <c r="A20" s="19" t="s">
        <v>40</v>
      </c>
      <c r="B20" s="18">
        <v>5007000</v>
      </c>
      <c r="C20" s="7"/>
      <c r="D20" s="7"/>
      <c r="E20" s="7"/>
      <c r="F20" s="7"/>
      <c r="G20" s="7"/>
      <c r="H20" s="7"/>
      <c r="I20" s="7"/>
    </row>
    <row r="21" spans="1:9" x14ac:dyDescent="0.25">
      <c r="A21" s="19" t="s">
        <v>16</v>
      </c>
      <c r="B21" s="18">
        <v>5010000</v>
      </c>
      <c r="C21" s="7"/>
      <c r="D21" s="7"/>
      <c r="E21" s="7"/>
      <c r="F21" s="7"/>
      <c r="G21" s="7"/>
      <c r="H21" s="7"/>
      <c r="I21" s="7"/>
    </row>
    <row r="22" spans="1:9" x14ac:dyDescent="0.25">
      <c r="A22" s="19" t="s">
        <v>17</v>
      </c>
      <c r="B22" s="18">
        <v>70000</v>
      </c>
      <c r="C22" s="7"/>
      <c r="D22" s="7"/>
      <c r="E22" s="7"/>
      <c r="F22" s="7"/>
      <c r="G22" s="7"/>
      <c r="H22" s="7"/>
      <c r="I22" s="7"/>
    </row>
    <row r="23" spans="1:9" x14ac:dyDescent="0.25">
      <c r="A23" s="19" t="s">
        <v>18</v>
      </c>
      <c r="B23" s="18">
        <v>960000</v>
      </c>
      <c r="C23" s="18">
        <v>450000</v>
      </c>
      <c r="D23" s="20">
        <f>C23/B23</f>
        <v>0.46875</v>
      </c>
      <c r="E23" s="18">
        <f>C23/74*1000</f>
        <v>6081081.0810810812</v>
      </c>
      <c r="F23" s="18">
        <f>$E23*F$4/1000-$C23</f>
        <v>-40909.090909090941</v>
      </c>
      <c r="G23" s="18">
        <f>$E23*G$4/1000-$C23</f>
        <v>45000.000000000058</v>
      </c>
      <c r="H23" s="18">
        <f>$E23*H$4/1000-$C23</f>
        <v>-25471.698113207589</v>
      </c>
      <c r="I23" s="18">
        <f>$E23*I$4/1000-$C23</f>
        <v>27000</v>
      </c>
    </row>
    <row r="24" spans="1:9" x14ac:dyDescent="0.25">
      <c r="A24" s="19" t="s">
        <v>19</v>
      </c>
      <c r="B24" s="18">
        <v>1000000</v>
      </c>
      <c r="C24" s="18"/>
      <c r="D24" s="18"/>
      <c r="E24" s="7"/>
      <c r="F24" s="7"/>
      <c r="G24" s="7"/>
      <c r="H24" s="7"/>
      <c r="I24" s="7"/>
    </row>
    <row r="25" spans="1:9" ht="15.75" x14ac:dyDescent="0.25">
      <c r="A25" s="21" t="s">
        <v>20</v>
      </c>
      <c r="B25" s="22">
        <f>B14</f>
        <v>7040000</v>
      </c>
      <c r="C25" s="7"/>
      <c r="D25" s="7"/>
      <c r="E25" s="7"/>
      <c r="F25" s="7"/>
      <c r="G25" s="7"/>
      <c r="H25" s="7"/>
      <c r="I25" s="7"/>
    </row>
    <row r="26" spans="1:9" ht="15.75" x14ac:dyDescent="0.25">
      <c r="A26" s="21"/>
      <c r="B26" s="22"/>
      <c r="C26" s="7"/>
      <c r="D26" s="7"/>
      <c r="E26" s="7"/>
      <c r="F26" s="22"/>
      <c r="G26" s="22"/>
      <c r="H26" s="22"/>
      <c r="I26" s="22"/>
    </row>
    <row r="27" spans="1:9" ht="15.75" x14ac:dyDescent="0.25">
      <c r="A27" s="21" t="s">
        <v>42</v>
      </c>
      <c r="B27" s="22"/>
      <c r="C27" s="7"/>
      <c r="D27" s="7"/>
      <c r="E27" s="7"/>
      <c r="F27" s="22">
        <f>F9+F11-F23</f>
        <v>31000.000000000033</v>
      </c>
      <c r="G27" s="22">
        <f t="shared" ref="G27:I27" si="0">G9+G11-G23</f>
        <v>-34100.000000000044</v>
      </c>
      <c r="H27" s="22">
        <f t="shared" si="0"/>
        <v>19301.886792452875</v>
      </c>
      <c r="I27" s="22">
        <f t="shared" si="0"/>
        <v>-20460</v>
      </c>
    </row>
    <row r="28" spans="1:9" x14ac:dyDescent="0.25">
      <c r="A28" s="7"/>
      <c r="B28" s="7"/>
      <c r="C28" s="7"/>
      <c r="D28" s="7"/>
      <c r="E28" s="7"/>
      <c r="F28" s="7"/>
      <c r="G28" s="7"/>
      <c r="H28" s="7"/>
      <c r="I28" s="7"/>
    </row>
    <row r="29" spans="1:9" ht="18.75" x14ac:dyDescent="0.25">
      <c r="A29" s="23" t="s">
        <v>21</v>
      </c>
      <c r="B29" s="7"/>
      <c r="C29" s="7"/>
      <c r="D29" s="7"/>
      <c r="E29" s="7"/>
      <c r="F29" s="7"/>
      <c r="G29" s="7"/>
      <c r="H29" s="7"/>
      <c r="I29" s="7"/>
    </row>
    <row r="30" spans="1:9" x14ac:dyDescent="0.25">
      <c r="A30" s="24"/>
      <c r="B30" s="7"/>
      <c r="C30" s="7"/>
      <c r="D30" s="7"/>
      <c r="E30" s="7"/>
      <c r="F30" s="7"/>
      <c r="G30" s="7"/>
      <c r="H30" s="7"/>
      <c r="I30" s="7"/>
    </row>
    <row r="31" spans="1:9" x14ac:dyDescent="0.25">
      <c r="A31" s="13" t="s">
        <v>47</v>
      </c>
      <c r="B31" s="14">
        <v>2016</v>
      </c>
      <c r="C31" s="7"/>
      <c r="D31" s="7"/>
      <c r="E31" s="7"/>
      <c r="F31" s="7"/>
      <c r="G31" s="7"/>
      <c r="H31" s="7"/>
      <c r="I31" s="7"/>
    </row>
    <row r="32" spans="1:9" x14ac:dyDescent="0.25">
      <c r="A32" s="19" t="s">
        <v>22</v>
      </c>
      <c r="B32" s="18">
        <v>13600000</v>
      </c>
      <c r="C32" s="18">
        <v>680000</v>
      </c>
      <c r="D32" s="20">
        <f>C32/B32</f>
        <v>0.05</v>
      </c>
      <c r="E32" s="18">
        <f>C32/74*1000</f>
        <v>9189189.18918919</v>
      </c>
      <c r="F32" s="18">
        <f t="shared" ref="F32:I33" si="1">$E32*F$4/1000-$C32</f>
        <v>-61818.181818181882</v>
      </c>
      <c r="G32" s="18">
        <f t="shared" si="1"/>
        <v>68000.000000000116</v>
      </c>
      <c r="H32" s="18">
        <f t="shared" si="1"/>
        <v>-38490.566037735785</v>
      </c>
      <c r="I32" s="18">
        <f t="shared" si="1"/>
        <v>40800</v>
      </c>
    </row>
    <row r="33" spans="1:11" ht="30" x14ac:dyDescent="0.25">
      <c r="A33" s="19" t="s">
        <v>23</v>
      </c>
      <c r="B33" s="18">
        <v>6500000</v>
      </c>
      <c r="C33" s="18">
        <v>3500000</v>
      </c>
      <c r="D33" s="20">
        <f>C33/B33</f>
        <v>0.53846153846153844</v>
      </c>
      <c r="E33" s="18">
        <f>C33/74*1000</f>
        <v>47297297.297297299</v>
      </c>
      <c r="F33" s="18">
        <f t="shared" si="1"/>
        <v>-318181.81818181835</v>
      </c>
      <c r="G33" s="18">
        <f t="shared" si="1"/>
        <v>350000.00000000047</v>
      </c>
      <c r="H33" s="18">
        <f t="shared" si="1"/>
        <v>-198113.20754717011</v>
      </c>
      <c r="I33" s="18">
        <f t="shared" si="1"/>
        <v>210000</v>
      </c>
    </row>
    <row r="34" spans="1:11" x14ac:dyDescent="0.25">
      <c r="A34" s="19" t="s">
        <v>24</v>
      </c>
      <c r="B34" s="18">
        <f>B32-B33</f>
        <v>7100000</v>
      </c>
      <c r="C34" s="7"/>
      <c r="D34" s="7"/>
      <c r="E34" s="7"/>
      <c r="F34" s="7"/>
      <c r="G34" s="7"/>
      <c r="H34" s="7"/>
      <c r="I34" s="7"/>
    </row>
    <row r="35" spans="1:11" x14ac:dyDescent="0.25">
      <c r="A35" s="19" t="s">
        <v>25</v>
      </c>
      <c r="B35" s="18">
        <v>3100000</v>
      </c>
      <c r="C35" s="7"/>
      <c r="D35" s="7"/>
      <c r="E35" s="7"/>
      <c r="F35" s="7"/>
      <c r="G35" s="7"/>
      <c r="H35" s="7"/>
      <c r="I35" s="7"/>
    </row>
    <row r="36" spans="1:11" x14ac:dyDescent="0.25">
      <c r="A36" s="19" t="s">
        <v>26</v>
      </c>
      <c r="B36" s="18">
        <v>950000</v>
      </c>
      <c r="C36" s="7"/>
      <c r="D36" s="7"/>
      <c r="E36" s="7"/>
      <c r="F36" s="7"/>
      <c r="G36" s="7"/>
      <c r="H36" s="7"/>
      <c r="I36" s="7"/>
    </row>
    <row r="37" spans="1:11" x14ac:dyDescent="0.25">
      <c r="A37" s="19" t="s">
        <v>27</v>
      </c>
      <c r="B37" s="18">
        <f>B34-B35-B36</f>
        <v>3050000</v>
      </c>
      <c r="C37" s="7"/>
      <c r="D37" s="7"/>
      <c r="E37" s="7"/>
      <c r="F37" s="7"/>
      <c r="G37" s="7"/>
      <c r="H37" s="7"/>
      <c r="I37" s="7"/>
    </row>
    <row r="38" spans="1:11" x14ac:dyDescent="0.25">
      <c r="A38" s="19" t="s">
        <v>28</v>
      </c>
      <c r="B38" s="18"/>
      <c r="C38" s="7"/>
      <c r="D38" s="7"/>
      <c r="E38" s="7"/>
      <c r="F38" s="7"/>
      <c r="G38" s="7"/>
      <c r="H38" s="7"/>
      <c r="I38" s="7"/>
    </row>
    <row r="39" spans="1:11" x14ac:dyDescent="0.25">
      <c r="A39" s="19" t="s">
        <v>29</v>
      </c>
      <c r="B39" s="18">
        <v>110000</v>
      </c>
      <c r="C39" s="7"/>
      <c r="D39" s="7"/>
      <c r="E39" s="7"/>
      <c r="F39" s="7"/>
      <c r="G39" s="7"/>
      <c r="H39" s="7"/>
      <c r="I39" s="7"/>
    </row>
    <row r="40" spans="1:11" x14ac:dyDescent="0.25">
      <c r="A40" s="19" t="s">
        <v>30</v>
      </c>
      <c r="B40" s="18"/>
      <c r="C40" s="7"/>
      <c r="D40" s="7"/>
      <c r="E40" s="7"/>
      <c r="F40" s="7"/>
      <c r="G40" s="7"/>
      <c r="H40" s="7"/>
      <c r="I40" s="7"/>
    </row>
    <row r="41" spans="1:11" x14ac:dyDescent="0.25">
      <c r="A41" s="19" t="s">
        <v>31</v>
      </c>
      <c r="B41" s="18">
        <v>180000</v>
      </c>
      <c r="C41" s="7"/>
      <c r="D41" s="7"/>
      <c r="E41" s="7"/>
      <c r="F41" s="7"/>
      <c r="G41" s="7"/>
      <c r="H41" s="7"/>
      <c r="I41" s="7"/>
    </row>
    <row r="42" spans="1:11" x14ac:dyDescent="0.25">
      <c r="A42" s="19" t="s">
        <v>32</v>
      </c>
      <c r="B42" s="18">
        <v>230000</v>
      </c>
      <c r="C42" s="7"/>
      <c r="D42" s="7"/>
      <c r="E42" s="7"/>
      <c r="F42" s="7"/>
      <c r="G42" s="7"/>
      <c r="H42" s="7"/>
      <c r="I42" s="7"/>
    </row>
    <row r="43" spans="1:11" x14ac:dyDescent="0.25">
      <c r="A43" s="19" t="s">
        <v>33</v>
      </c>
      <c r="B43" s="18">
        <f>B37-B39+B41-B42</f>
        <v>2890000</v>
      </c>
      <c r="C43" s="7"/>
      <c r="D43" s="7"/>
      <c r="E43" s="7"/>
      <c r="F43" s="7"/>
      <c r="G43" s="7"/>
      <c r="H43" s="7"/>
      <c r="I43" s="7"/>
    </row>
    <row r="44" spans="1:11" x14ac:dyDescent="0.25">
      <c r="A44" s="19" t="s">
        <v>34</v>
      </c>
      <c r="B44" s="18">
        <f>B43*20%</f>
        <v>578000</v>
      </c>
      <c r="C44" s="7"/>
      <c r="D44" s="7"/>
      <c r="E44" s="7"/>
      <c r="F44" s="7"/>
      <c r="G44" s="7"/>
      <c r="H44" s="7"/>
      <c r="I44" s="7"/>
    </row>
    <row r="45" spans="1:11" x14ac:dyDescent="0.25">
      <c r="A45" s="15" t="s">
        <v>35</v>
      </c>
      <c r="B45" s="13"/>
      <c r="C45" s="7"/>
      <c r="D45" s="7"/>
      <c r="E45" s="7"/>
      <c r="F45" s="7"/>
      <c r="G45" s="7"/>
      <c r="H45" s="7"/>
      <c r="I45" s="7"/>
    </row>
    <row r="46" spans="1:11" x14ac:dyDescent="0.25">
      <c r="A46" s="19" t="s">
        <v>36</v>
      </c>
      <c r="B46" s="18"/>
      <c r="C46" s="7"/>
      <c r="D46" s="7"/>
      <c r="E46" s="7"/>
      <c r="F46" s="7"/>
      <c r="G46" s="7"/>
      <c r="H46" s="7"/>
      <c r="I46" s="7"/>
    </row>
    <row r="47" spans="1:11" ht="15.75" x14ac:dyDescent="0.25">
      <c r="A47" s="21" t="s">
        <v>37</v>
      </c>
      <c r="B47" s="22">
        <f>B43-B44</f>
        <v>2312000</v>
      </c>
      <c r="C47" s="7"/>
      <c r="D47" s="7"/>
      <c r="E47" s="7"/>
      <c r="F47" s="22">
        <f>F27+F32-F33</f>
        <v>287363.63636363653</v>
      </c>
      <c r="G47" s="22">
        <f t="shared" ref="G47:I47" si="2">G27+G32-G33</f>
        <v>-316100.00000000041</v>
      </c>
      <c r="H47" s="22">
        <f t="shared" si="2"/>
        <v>178924.52830188721</v>
      </c>
      <c r="I47" s="22">
        <f t="shared" si="2"/>
        <v>-189660</v>
      </c>
      <c r="K47" s="37"/>
    </row>
    <row r="48" spans="1:11" x14ac:dyDescent="0.25">
      <c r="A48" s="7"/>
      <c r="B48" s="7"/>
      <c r="C48" s="7"/>
      <c r="D48" s="7"/>
      <c r="E48" s="7"/>
      <c r="F48" s="7"/>
      <c r="G48" s="7"/>
      <c r="H48" s="7"/>
      <c r="I48" s="7"/>
    </row>
    <row r="49" spans="1:9" ht="15.75" x14ac:dyDescent="0.25">
      <c r="A49" s="21" t="s">
        <v>51</v>
      </c>
      <c r="B49" s="22">
        <f>330000*1.18</f>
        <v>389400</v>
      </c>
      <c r="C49" s="18">
        <f>B49*D49</f>
        <v>97350</v>
      </c>
      <c r="D49" s="7">
        <v>0.25</v>
      </c>
      <c r="E49" s="18">
        <f>C49/74*1000</f>
        <v>1315540.5405405406</v>
      </c>
      <c r="F49" s="22">
        <f>$E49*F$4/1000-$C49</f>
        <v>-8850</v>
      </c>
      <c r="G49" s="22">
        <f>$E49*G$4/1000-$C49</f>
        <v>9735.0000000000146</v>
      </c>
      <c r="H49" s="22">
        <f>$E49*H$4/1000-$C49</f>
        <v>-5510.3773584905721</v>
      </c>
      <c r="I49" s="22">
        <f>$E49*I$4/1000-$C49</f>
        <v>5841</v>
      </c>
    </row>
    <row r="50" spans="1:9" x14ac:dyDescent="0.25">
      <c r="A50" s="7"/>
      <c r="B50" s="7"/>
      <c r="C50" s="7"/>
      <c r="D50" s="7"/>
      <c r="E50" s="7"/>
      <c r="F50" s="7"/>
      <c r="G50" s="7"/>
      <c r="H50" s="7"/>
      <c r="I50" s="7"/>
    </row>
    <row r="51" spans="1:9" ht="15.75" x14ac:dyDescent="0.25">
      <c r="A51" s="21" t="s">
        <v>52</v>
      </c>
      <c r="B51" s="22"/>
      <c r="C51" s="18"/>
      <c r="D51" s="7"/>
      <c r="E51" s="18"/>
      <c r="F51" s="28">
        <f>F47-F49</f>
        <v>296213.63636363653</v>
      </c>
      <c r="G51" s="28">
        <f>G47-G49</f>
        <v>-325835.00000000041</v>
      </c>
      <c r="H51" s="33">
        <f>H47-H49</f>
        <v>184434.90566037779</v>
      </c>
      <c r="I51" s="33">
        <f>I47-I49</f>
        <v>-195501</v>
      </c>
    </row>
    <row r="52" spans="1:9" x14ac:dyDescent="0.25">
      <c r="A52" s="25" t="s">
        <v>38</v>
      </c>
      <c r="B52" s="7"/>
      <c r="C52" s="7"/>
      <c r="D52" s="7"/>
      <c r="E52" s="7"/>
      <c r="F52" s="1">
        <f>F51/$B$47</f>
        <v>0.12812008493236873</v>
      </c>
      <c r="G52" s="1">
        <f t="shared" ref="G52:I52" si="3">G51/$B$47</f>
        <v>-0.14093209342560573</v>
      </c>
      <c r="H52" s="1">
        <f t="shared" si="3"/>
        <v>7.9772883071097658E-2</v>
      </c>
      <c r="I52" s="1">
        <f t="shared" si="3"/>
        <v>-8.4559256055363324E-2</v>
      </c>
    </row>
    <row r="53" spans="1:9" x14ac:dyDescent="0.25">
      <c r="A53" s="25"/>
      <c r="B53" s="7"/>
      <c r="C53" s="7"/>
      <c r="D53" s="7"/>
      <c r="E53" s="7"/>
      <c r="F53" s="1"/>
      <c r="G53" s="1"/>
      <c r="H53" s="1"/>
      <c r="I53" s="1"/>
    </row>
    <row r="54" spans="1:9" ht="18.75" x14ac:dyDescent="0.3">
      <c r="A54" s="3" t="s">
        <v>39</v>
      </c>
      <c r="B54" s="7"/>
      <c r="C54" s="7"/>
      <c r="D54" s="7"/>
      <c r="E54" s="7"/>
      <c r="F54" s="7"/>
      <c r="G54" s="7"/>
      <c r="H54" s="7"/>
      <c r="I54" s="7"/>
    </row>
    <row r="55" spans="1:9" ht="18.75" x14ac:dyDescent="0.3">
      <c r="A55" s="2" t="s">
        <v>53</v>
      </c>
      <c r="B55" s="7"/>
      <c r="C55" s="7"/>
      <c r="D55" s="7"/>
      <c r="E55" s="7"/>
      <c r="F55" s="7"/>
      <c r="G55" s="7"/>
      <c r="H55" s="7"/>
      <c r="I55" s="7"/>
    </row>
    <row r="56" spans="1:9" ht="75" x14ac:dyDescent="0.25">
      <c r="A56" s="9" t="s">
        <v>63</v>
      </c>
      <c r="B56" s="7"/>
      <c r="C56" s="7"/>
      <c r="D56" s="7"/>
      <c r="E56" s="18">
        <f>E33*1.18/12*6-E32/12*6+E49</f>
        <v>24626351.351351358</v>
      </c>
      <c r="F56" s="7"/>
      <c r="G56" s="7"/>
      <c r="H56" s="7"/>
      <c r="I56" s="7"/>
    </row>
    <row r="57" spans="1:9" ht="7.9" customHeight="1" x14ac:dyDescent="0.25">
      <c r="A57" s="7"/>
      <c r="B57" s="7"/>
      <c r="C57" s="7"/>
      <c r="D57" s="7"/>
      <c r="E57" s="7"/>
      <c r="F57" s="7"/>
      <c r="G57" s="7"/>
      <c r="H57" s="7"/>
      <c r="I57" s="7"/>
    </row>
    <row r="58" spans="1:9" x14ac:dyDescent="0.25">
      <c r="A58" s="7" t="s">
        <v>45</v>
      </c>
      <c r="B58" s="7"/>
      <c r="C58" s="7"/>
      <c r="D58" s="7"/>
      <c r="E58" s="7">
        <v>74</v>
      </c>
      <c r="F58" s="7"/>
      <c r="G58" s="7"/>
      <c r="H58" s="7"/>
      <c r="I58" s="7"/>
    </row>
    <row r="59" spans="1:9" ht="9" customHeight="1" x14ac:dyDescent="0.25">
      <c r="A59" s="7"/>
      <c r="B59" s="7"/>
      <c r="C59" s="7"/>
      <c r="D59" s="7"/>
      <c r="E59" s="7"/>
      <c r="F59" s="7"/>
      <c r="G59" s="7"/>
      <c r="H59" s="7"/>
      <c r="I59" s="7"/>
    </row>
    <row r="60" spans="1:9" ht="45" x14ac:dyDescent="0.25">
      <c r="A60" s="9" t="s">
        <v>56</v>
      </c>
      <c r="B60" s="7"/>
      <c r="C60" s="7"/>
      <c r="D60" s="7"/>
      <c r="E60" s="22">
        <f>E56*E58*9.75%/1000</f>
        <v>177679.12500000006</v>
      </c>
      <c r="F60" s="7"/>
      <c r="G60" s="7"/>
      <c r="H60" s="7"/>
      <c r="I60" s="7"/>
    </row>
    <row r="61" spans="1:9" x14ac:dyDescent="0.25">
      <c r="A61" s="7"/>
      <c r="B61" s="7"/>
      <c r="C61" s="7"/>
      <c r="D61" s="7"/>
      <c r="E61" s="7"/>
      <c r="F61" s="7"/>
      <c r="G61" s="7"/>
      <c r="H61" s="7"/>
      <c r="I61" s="7"/>
    </row>
    <row r="62" spans="1:9" ht="30" x14ac:dyDescent="0.25">
      <c r="A62" s="9" t="s">
        <v>60</v>
      </c>
      <c r="B62" s="7"/>
      <c r="C62" s="7"/>
      <c r="D62" s="7"/>
      <c r="E62" s="18">
        <f>E56*E58*10%/1000</f>
        <v>182235.00000000006</v>
      </c>
      <c r="F62" s="7"/>
      <c r="G62" s="7"/>
      <c r="H62" s="7"/>
      <c r="I62" s="7"/>
    </row>
    <row r="63" spans="1:9" ht="30" x14ac:dyDescent="0.25">
      <c r="A63" s="9" t="s">
        <v>55</v>
      </c>
      <c r="B63" s="7"/>
      <c r="C63" s="7"/>
      <c r="D63" s="7"/>
      <c r="E63" s="18">
        <f>E62*11.25%</f>
        <v>20501.437500000007</v>
      </c>
      <c r="F63" s="7"/>
      <c r="G63" s="7"/>
      <c r="H63" s="7"/>
      <c r="I63" s="7"/>
    </row>
    <row r="64" spans="1:9" x14ac:dyDescent="0.25">
      <c r="A64" s="7"/>
      <c r="B64" s="7"/>
      <c r="C64" s="7"/>
      <c r="D64" s="7"/>
      <c r="E64" s="7"/>
      <c r="F64" s="7"/>
      <c r="G64" s="7"/>
      <c r="H64" s="7"/>
      <c r="I64" s="7"/>
    </row>
    <row r="65" spans="1:9" ht="15.75" x14ac:dyDescent="0.25">
      <c r="A65" s="29" t="s">
        <v>46</v>
      </c>
      <c r="B65" s="30"/>
      <c r="C65" s="30"/>
      <c r="D65" s="30"/>
      <c r="E65" s="28">
        <f>E63+E60</f>
        <v>198180.56250000006</v>
      </c>
      <c r="F65" s="7"/>
      <c r="G65" s="7"/>
      <c r="H65" s="7"/>
      <c r="I65" s="7"/>
    </row>
    <row r="66" spans="1:9" x14ac:dyDescent="0.25">
      <c r="A66" s="10" t="s">
        <v>38</v>
      </c>
      <c r="B66" s="7"/>
      <c r="C66" s="7"/>
      <c r="D66" s="7"/>
      <c r="E66" s="1">
        <f>E65/B$47</f>
        <v>8.5718236375432549E-2</v>
      </c>
      <c r="F66" s="7"/>
      <c r="G66" s="7"/>
      <c r="H66" s="7"/>
      <c r="I66" s="7"/>
    </row>
    <row r="67" spans="1:9" x14ac:dyDescent="0.25">
      <c r="A67" s="7"/>
      <c r="B67" s="7"/>
      <c r="C67" s="7"/>
      <c r="D67" s="7"/>
      <c r="E67" s="7"/>
      <c r="F67" s="7"/>
      <c r="G67" s="7"/>
      <c r="H67" s="7"/>
      <c r="I67" s="7"/>
    </row>
    <row r="68" spans="1:9" ht="18.75" x14ac:dyDescent="0.3">
      <c r="A68" s="2" t="s">
        <v>54</v>
      </c>
      <c r="B68" s="7"/>
      <c r="C68" s="7"/>
      <c r="D68" s="7"/>
      <c r="E68" s="7"/>
      <c r="F68" s="7"/>
      <c r="G68" s="7"/>
      <c r="H68" s="7"/>
      <c r="I68" s="7"/>
    </row>
    <row r="69" spans="1:9" ht="75" x14ac:dyDescent="0.25">
      <c r="A69" s="9" t="s">
        <v>63</v>
      </c>
      <c r="B69" s="7"/>
      <c r="C69" s="7"/>
      <c r="D69" s="7"/>
      <c r="E69" s="18">
        <f>E33*1.18/12*4-E32/12*46+E49</f>
        <v>-15306081.081081079</v>
      </c>
      <c r="F69" s="7"/>
      <c r="G69" s="7"/>
      <c r="H69" s="7"/>
      <c r="I69" s="7"/>
    </row>
    <row r="70" spans="1:9" x14ac:dyDescent="0.25">
      <c r="A70" s="7"/>
      <c r="B70" s="7"/>
      <c r="C70" s="7"/>
      <c r="D70" s="7"/>
      <c r="E70" s="7"/>
      <c r="F70" s="7"/>
      <c r="G70" s="7"/>
      <c r="H70" s="7"/>
      <c r="I70" s="7"/>
    </row>
    <row r="71" spans="1:9" x14ac:dyDescent="0.25">
      <c r="A71" s="7" t="s">
        <v>45</v>
      </c>
      <c r="B71" s="7"/>
      <c r="C71" s="7"/>
      <c r="D71" s="7"/>
      <c r="E71" s="7">
        <v>74</v>
      </c>
      <c r="F71" s="7"/>
      <c r="G71" s="7"/>
      <c r="H71" s="7"/>
      <c r="I71" s="7"/>
    </row>
    <row r="72" spans="1:9" x14ac:dyDescent="0.25">
      <c r="A72" s="7"/>
      <c r="B72" s="7"/>
      <c r="C72" s="7"/>
      <c r="D72" s="7"/>
      <c r="E72" s="7"/>
      <c r="F72" s="7"/>
      <c r="G72" s="7"/>
      <c r="H72" s="7"/>
      <c r="I72" s="7"/>
    </row>
    <row r="73" spans="1:9" ht="45" x14ac:dyDescent="0.25">
      <c r="A73" s="9" t="s">
        <v>56</v>
      </c>
      <c r="B73" s="7"/>
      <c r="C73" s="7"/>
      <c r="D73" s="7"/>
      <c r="E73" s="22">
        <f>-E69*E71*9.75%/1000</f>
        <v>110433.37499999999</v>
      </c>
      <c r="F73" s="7"/>
      <c r="G73" s="7"/>
      <c r="H73" s="7"/>
      <c r="I73" s="7"/>
    </row>
    <row r="74" spans="1:9" x14ac:dyDescent="0.25">
      <c r="A74" s="7"/>
      <c r="B74" s="7"/>
      <c r="C74" s="7"/>
      <c r="D74" s="7"/>
      <c r="E74" s="7"/>
      <c r="F74" s="7"/>
      <c r="G74" s="7"/>
      <c r="H74" s="7"/>
      <c r="I74" s="7"/>
    </row>
    <row r="75" spans="1:9" ht="30" x14ac:dyDescent="0.25">
      <c r="A75" s="9" t="s">
        <v>60</v>
      </c>
      <c r="B75" s="7"/>
      <c r="C75" s="7"/>
      <c r="D75" s="7"/>
      <c r="E75" s="18">
        <f>E69*E71*10%/1000</f>
        <v>-113264.99999999999</v>
      </c>
      <c r="F75" s="7"/>
      <c r="G75" s="7"/>
      <c r="H75" s="7"/>
      <c r="I75" s="7"/>
    </row>
    <row r="76" spans="1:9" ht="30" x14ac:dyDescent="0.25">
      <c r="A76" s="9" t="s">
        <v>55</v>
      </c>
      <c r="B76" s="7"/>
      <c r="C76" s="7"/>
      <c r="D76" s="7"/>
      <c r="E76" s="18">
        <f>-E75*11.25%</f>
        <v>12742.312499999998</v>
      </c>
      <c r="F76" s="7"/>
      <c r="G76" s="7"/>
      <c r="H76" s="7"/>
      <c r="I76" s="7"/>
    </row>
    <row r="77" spans="1:9" x14ac:dyDescent="0.25">
      <c r="A77" s="7"/>
      <c r="B77" s="7"/>
      <c r="C77" s="7"/>
      <c r="D77" s="7"/>
      <c r="E77" s="7"/>
      <c r="F77" s="7"/>
      <c r="G77" s="7"/>
      <c r="H77" s="7"/>
      <c r="I77" s="7"/>
    </row>
    <row r="78" spans="1:9" ht="15.75" x14ac:dyDescent="0.25">
      <c r="A78" s="31" t="s">
        <v>46</v>
      </c>
      <c r="B78" s="32"/>
      <c r="C78" s="32"/>
      <c r="D78" s="32"/>
      <c r="E78" s="33">
        <f>E76+E73</f>
        <v>123175.68749999999</v>
      </c>
      <c r="F78" s="7"/>
      <c r="G78" s="7"/>
      <c r="H78" s="7"/>
      <c r="I78" s="7"/>
    </row>
    <row r="79" spans="1:9" x14ac:dyDescent="0.25">
      <c r="A79" s="10" t="s">
        <v>38</v>
      </c>
      <c r="B79" s="7"/>
      <c r="C79" s="7"/>
      <c r="D79" s="7"/>
      <c r="E79" s="1">
        <f>E78/B$47</f>
        <v>5.3276681444636674E-2</v>
      </c>
    </row>
    <row r="80" spans="1:9" x14ac:dyDescent="0.25">
      <c r="A80" s="34"/>
      <c r="B80" s="35"/>
      <c r="C80" s="35"/>
      <c r="D80" s="35"/>
      <c r="E80" s="36"/>
    </row>
    <row r="81" spans="1:1" x14ac:dyDescent="0.25">
      <c r="A81" s="27" t="s">
        <v>57</v>
      </c>
    </row>
    <row r="82" spans="1:1" x14ac:dyDescent="0.25">
      <c r="A82" s="27" t="s">
        <v>61</v>
      </c>
    </row>
    <row r="83" spans="1:1" x14ac:dyDescent="0.25">
      <c r="A83" s="27" t="s">
        <v>59</v>
      </c>
    </row>
    <row r="84" spans="1:1" x14ac:dyDescent="0.25">
      <c r="A84" s="27" t="s">
        <v>58</v>
      </c>
    </row>
    <row r="85" spans="1:1" x14ac:dyDescent="0.25">
      <c r="A85" s="27" t="s">
        <v>62</v>
      </c>
    </row>
  </sheetData>
  <mergeCells count="2">
    <mergeCell ref="F3:G3"/>
    <mergeCell ref="H3:I3"/>
  </mergeCells>
  <pageMargins left="0.70866141732283472" right="0.70866141732283472" top="0.74803149606299213" bottom="0.74803149606299213" header="0.31496062992125984" footer="0.31496062992125984"/>
  <pageSetup paperSize="9" scale="57" fitToHeight="2" orientation="portrait" r:id="rId1"/>
  <rowBreaks count="1" manualBreakCount="1">
    <brk id="5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SPLAT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Злобин Александр</dc:creator>
  <cp:lastModifiedBy>Серебрякова Анастасия Константиновна</cp:lastModifiedBy>
  <cp:lastPrinted>2017-06-01T19:30:26Z</cp:lastPrinted>
  <dcterms:created xsi:type="dcterms:W3CDTF">2017-06-01T05:58:29Z</dcterms:created>
  <dcterms:modified xsi:type="dcterms:W3CDTF">2017-06-07T07:44:59Z</dcterms:modified>
</cp:coreProperties>
</file>